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I39" i="1" l="1"/>
  <c r="H39" i="1"/>
  <c r="H41" i="1" s="1"/>
  <c r="I41" i="1"/>
  <c r="I35" i="1"/>
  <c r="H35" i="1"/>
  <c r="I33" i="1"/>
  <c r="H33" i="1"/>
  <c r="I40" i="1"/>
  <c r="H40" i="1"/>
  <c r="I38" i="1"/>
  <c r="H38" i="1"/>
  <c r="I34" i="1"/>
  <c r="H34" i="1"/>
  <c r="I32" i="1"/>
  <c r="H32" i="1"/>
  <c r="C38" i="1"/>
  <c r="B38" i="1"/>
  <c r="C37" i="1"/>
  <c r="B37" i="1"/>
  <c r="C32" i="1"/>
  <c r="B32" i="1"/>
  <c r="J13" i="1" l="1"/>
  <c r="I24" i="1" l="1"/>
  <c r="H24" i="1"/>
  <c r="J22" i="1" l="1"/>
  <c r="D26" i="1"/>
  <c r="E26" i="1" s="1"/>
  <c r="J35" i="1" l="1"/>
  <c r="K35" i="1" s="1"/>
  <c r="J39" i="1"/>
  <c r="K39" i="1" s="1"/>
  <c r="J41" i="1"/>
  <c r="K41" i="1" s="1"/>
  <c r="J33" i="1"/>
  <c r="K33" i="1" s="1"/>
  <c r="D40" i="1" l="1"/>
  <c r="E40" i="1" s="1"/>
  <c r="C24" i="1" l="1"/>
  <c r="D22" i="1" l="1"/>
  <c r="D23" i="1" l="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K13" i="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<sst xmlns="http://schemas.openxmlformats.org/spreadsheetml/2006/main" count="139" uniqueCount="100">
  <si>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</si>
  <si>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</si>
  <si>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</si>
  <si>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</si>
  <si>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</si>
  <si>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</si>
  <si>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</si>
  <si>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</si>
  <si>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</si>
  <si>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</si>
  <si>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</si>
  <si>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</si>
  <si>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</si>
  <si>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</si>
  <si>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</si>
  <si>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</si>
  <si>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</si>
  <si>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</si>
  <si>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</si>
  <si>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</si>
  <si>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</si>
  <si>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</si>
  <si>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</si>
  <si>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</si>
  <si>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</si>
  <si>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</si>
  <si>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</si>
  <si>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</si>
  <si>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</si>
  <si>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</si>
  <si>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</si>
  <si>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</si>
  <si>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</si>
  <si>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</si>
  <si>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</si>
  <si>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</si>
  <si>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</si>
  <si>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</si>
  <si>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</si>
  <si>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</si>
  <si>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</si>
  <si>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</si>
  <si>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</si>
  <si>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</si>
  <si>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</si>
  <si>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</si>
  <si>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</si>
  <si>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</si>
  <si>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</si>
  <si>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</si>
  <si>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</si>
  <si>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</si>
  <si>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</si>
  <si>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</si>
  <si>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</si>
  <si>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</si>
  <si>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</si>
  <si>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</si>
  <si>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</si>
  <si>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</si>
  <si>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</si>
  <si>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</si>
  <si>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</si>
  <si>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</si>
  <si>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</si>
  <si>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</si>
  <si>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</si>
  <si>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</si>
  <si>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</si>
  <si>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</si>
  <si>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</si>
  <si>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</si>
  <si>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</si>
  <si>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#Students enrolled at multiple campuses are counted twice at this time. Credits are not affected.</t>
  </si>
  <si>
    <t>Summer II 2019</t>
  </si>
  <si>
    <t>* Summer II 2018 headcount and credit hour totals represent the sum of School of Health and Rehabilitation Sciences and School of Physical Education and Tourism Management. The merger became official on July 1, 2018.</t>
  </si>
  <si>
    <t>*** IU Ft. Wayne did not have Summer 2018 enrollment. Numbers will not be comparable.</t>
  </si>
  <si>
    <t>Office of Institutional Research and Decision Support 6/18/2019</t>
  </si>
  <si>
    <t>-8 ug; -5 grad</t>
  </si>
  <si>
    <t>-81 grad/prof</t>
  </si>
  <si>
    <t>+9 non-degree</t>
  </si>
  <si>
    <t>6/25/2018</t>
  </si>
  <si>
    <t>6/24/2019</t>
  </si>
  <si>
    <t>+6 ug; +10 grad/prof</t>
  </si>
  <si>
    <t>+3 ug; -5 grad/prof; -1 non-degree</t>
  </si>
  <si>
    <t>6/24/2019 - First Day</t>
  </si>
  <si>
    <t>-21 ug; +17 grad; -18 non-degree</t>
  </si>
  <si>
    <t>-66 ug; +55 grad; -2 non-degree</t>
  </si>
  <si>
    <t>-29 ug; +17 grad; -18 non-degree</t>
  </si>
  <si>
    <t>-14 ug; +23 grad/prof</t>
  </si>
  <si>
    <t>+19 ug; +5 grad/prof; +1 non-degree</t>
  </si>
  <si>
    <t>-11 ug; -19 grad</t>
  </si>
  <si>
    <t>-51 ug; -7 grad; -22 non-degree</t>
  </si>
  <si>
    <t>-18 non-degree</t>
  </si>
  <si>
    <t>-101 ug; -3 hs; -18 non-degree</t>
  </si>
  <si>
    <t>-62 ug; -2 grad</t>
  </si>
  <si>
    <t>-1 ug; +6 grad</t>
  </si>
  <si>
    <t>-16 ug; -47 grad; -3 non-degree</t>
  </si>
  <si>
    <t>-40 ug; -46 grad</t>
  </si>
  <si>
    <t>-5 ug; +56 grad; -12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</si>
</sst>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1" fillId="0" borderId="0"/>
    <xf numFmtId="0" fontId="12" fillId="0" borderId="0"/>
  </cellStyleXfs>
  <cellXfs count="218">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3"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0" xfId="0" applyFont="1" applyFill="1" applyBorder="1"/>
    <xf numFmtId="0" fontId="15"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0"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0" fontId="17" fillId="2" borderId="4" xfId="0" applyFont="1" applyFill="1" applyBorder="1"/>
    <xf numFmtId="0" fontId="17" fillId="5" borderId="13" xfId="0" applyFont="1" applyFill="1" applyBorder="1"/>
    <xf numFmtId="0" fontId="15" fillId="0" borderId="4" xfId="0" applyFont="1" applyBorder="1" applyAlignment="1">
      <alignment vertical="center"/>
    </xf>
    <xf numFmtId="0" fontId="17" fillId="3" borderId="4" xfId="0" applyFont="1" applyFill="1" applyBorder="1" applyAlignment="1">
      <alignment vertical="center"/>
    </xf>
    <xf numFmtId="0" fontId="15" fillId="0" borderId="16" xfId="0" applyFont="1" applyBorder="1"/>
    <xf numFmtId="0" fontId="17" fillId="0" borderId="4" xfId="0" applyFont="1" applyBorder="1"/>
    <xf numFmtId="0" fontId="17" fillId="0" borderId="13" xfId="0" applyFont="1" applyBorder="1"/>
    <xf numFmtId="0" fontId="3" fillId="0" borderId="0" xfId="0" applyFont="1"/>
    <xf numFmtId="0" fontId="15"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0" fontId="15"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5" fillId="0" borderId="16" xfId="0" applyFont="1" applyFill="1" applyBorder="1" applyAlignment="1">
      <alignment vertical="center"/>
    </xf>
    <xf numFmtId="16" fontId="17" fillId="3" borderId="18" xfId="0" applyNumberFormat="1" applyFont="1" applyFill="1" applyBorder="1" applyAlignment="1">
      <alignment horizontal="center"/>
    </xf>
    <xf numFmtId="0" fontId="2"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0" fontId="2"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3"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7" fillId="5" borderId="30" xfId="0" applyFont="1" applyFill="1" applyBorder="1"/>
    <xf numFmtId="3" fontId="17"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5" fillId="2" borderId="34" xfId="0" applyFont="1" applyFill="1" applyBorder="1"/>
    <xf numFmtId="0" fontId="17"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5" fillId="0" borderId="9" xfId="0" applyNumberFormat="1" applyFont="1" applyBorder="1" applyAlignment="1">
      <alignment horizontal="center"/>
    </xf>
    <xf numFmtId="3" fontId="15" fillId="0" borderId="20" xfId="0" applyNumberFormat="1" applyFont="1" applyBorder="1" applyAlignment="1">
      <alignment horizontal="center"/>
    </xf>
    <xf numFmtId="3" fontId="12" fillId="0" borderId="0" xfId="0" applyNumberFormat="1" applyFont="1" applyFill="1" applyBorder="1" applyAlignment="1">
      <alignment horizontal="center" vertical="center" wrapText="1" readingOrder="1"/>
    </xf>
    <xf numFmtId="3" fontId="12" fillId="0" borderId="38" xfId="0" applyNumberFormat="1" applyFont="1" applyFill="1" applyBorder="1" applyAlignment="1">
      <alignment horizontal="center" vertical="center" wrapText="1" readingOrder="1"/>
    </xf>
    <xf numFmtId="0" fontId="17" fillId="3" borderId="22" xfId="0" applyFont="1" applyFill="1" applyBorder="1"/>
    <xf numFmtId="164" fontId="12"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5" fillId="0" borderId="36" xfId="0" applyNumberFormat="1" applyFont="1" applyBorder="1" applyAlignment="1">
      <alignment horizontal="center"/>
    </xf>
    <xf numFmtId="3" fontId="15"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1" fontId="12" fillId="0" borderId="24" xfId="0" applyNumberFormat="1" applyFont="1" applyFill="1" applyBorder="1" applyAlignment="1">
      <alignment horizontal="center" vertical="center" wrapText="1" readingOrder="1"/>
    </xf>
    <xf numFmtId="1" fontId="17" fillId="3" borderId="40" xfId="0" applyNumberFormat="1" applyFont="1" applyFill="1" applyBorder="1" applyAlignment="1">
      <alignment horizontal="center"/>
    </xf>
    <xf numFmtId="1" fontId="17" fillId="3" borderId="36" xfId="0" applyNumberFormat="1" applyFont="1" applyFill="1" applyBorder="1" applyAlignment="1">
      <alignment horizontal="center"/>
    </xf>
    <xf numFmtId="3" fontId="15" fillId="0" borderId="0" xfId="0" applyNumberFormat="1" applyFont="1" applyAlignment="1">
      <alignment horizontal="center"/>
    </xf>
    <xf numFmtId="3" fontId="17"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5" fillId="0" borderId="39" xfId="0" applyFont="1" applyFill="1" applyBorder="1"/>
    <xf numFmtId="0" fontId="0" fillId="0" borderId="0" xfId="0" applyFill="1"/>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5" fillId="0" borderId="10" xfId="0" applyNumberFormat="1" applyFont="1" applyBorder="1" applyAlignment="1">
      <alignment horizontal="center"/>
    </xf>
    <xf numFmtId="49" fontId="5" fillId="0" borderId="22" xfId="0" applyNumberFormat="1" applyFont="1" applyFill="1" applyBorder="1"/>
    <xf numFmtId="49" fontId="17" fillId="3" borderId="48" xfId="0" applyNumberFormat="1" applyFont="1" applyFill="1" applyBorder="1" applyAlignment="1">
      <alignment horizontal="center"/>
    </xf>
    <xf numFmtId="49" fontId="19" fillId="0" borderId="4" xfId="0" applyNumberFormat="1" applyFont="1" applyFill="1" applyBorder="1" applyAlignment="1">
      <alignment horizontal="left" vertical="center" wrapText="1"/>
    </xf>
    <xf numFmtId="49" fontId="0" fillId="0" borderId="21" xfId="0" applyNumberFormat="1" applyBorder="1"/>
    <xf numFmtId="49" fontId="5" fillId="0" borderId="21" xfId="0" applyNumberFormat="1" applyFont="1" applyFill="1" applyBorder="1" applyAlignment="1">
      <alignment vertical="center" wrapText="1"/>
    </xf>
    <xf numFmtId="0" fontId="0" fillId="0" borderId="21" xfId="0" applyBorder="1" applyAlignment="1">
      <alignment vertical="center"/>
    </xf>
    <xf numFmtId="0" fontId="7" fillId="0" borderId="16" xfId="0" applyFont="1" applyBorder="1" applyAlignment="1">
      <alignment wrapText="1"/>
    </xf>
    <xf numFmtId="49" fontId="2" fillId="2" borderId="42" xfId="0" applyNumberFormat="1" applyFont="1" applyFill="1" applyBorder="1" applyAlignment="1">
      <alignment horizontal="left"/>
    </xf>
    <xf numFmtId="49" fontId="20" fillId="0" borderId="0" xfId="0" applyNumberFormat="1" applyFont="1" applyBorder="1" applyAlignment="1">
      <alignment horizontal="right"/>
    </xf>
    <xf numFmtId="0" fontId="17" fillId="3" borderId="39" xfId="0" applyFont="1" applyFill="1" applyBorder="1"/>
    <xf numFmtId="164" fontId="27" fillId="2" borderId="12" xfId="0" applyNumberFormat="1" applyFont="1" applyFill="1" applyBorder="1" applyAlignment="1">
      <alignment horizontal="center" wrapText="1"/>
    </xf>
    <xf numFmtId="3" fontId="27" fillId="2" borderId="3"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49" fontId="0" fillId="0" borderId="50" xfId="0" applyNumberFormat="1" applyBorder="1"/>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30"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30" fillId="2" borderId="3" xfId="0" applyNumberFormat="1" applyFont="1" applyFill="1" applyBorder="1" applyAlignment="1">
      <alignment horizont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49" fontId="15" fillId="0" borderId="22" xfId="0" applyNumberFormat="1" applyFont="1" applyFill="1" applyBorder="1" applyAlignment="1">
      <alignment horizontal="left" vertical="center"/>
    </xf>
    <xf numFmtId="3" fontId="27" fillId="0" borderId="11" xfId="0" applyNumberFormat="1" applyFont="1" applyFill="1" applyBorder="1" applyAlignment="1">
      <alignment horizontal="center" wrapText="1"/>
    </xf>
    <xf numFmtId="164" fontId="27" fillId="0" borderId="12" xfId="0" applyNumberFormat="1" applyFont="1" applyFill="1" applyBorder="1" applyAlignment="1">
      <alignment horizontal="center" wrapText="1"/>
    </xf>
    <xf numFmtId="49" fontId="15" fillId="0" borderId="22"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49" fontId="15" fillId="0" borderId="49" xfId="0" applyNumberFormat="1" applyFont="1" applyFill="1" applyBorder="1" applyAlignment="1">
      <alignment horizontal="left" vertical="center" wrapText="1"/>
    </xf>
    <xf numFmtId="3" fontId="30" fillId="3" borderId="9" xfId="0" applyNumberFormat="1" applyFont="1" applyFill="1" applyBorder="1" applyAlignment="1">
      <alignment horizontal="center" vertical="center" wrapText="1"/>
    </xf>
    <xf numFmtId="3" fontId="30" fillId="0" borderId="9" xfId="0" applyNumberFormat="1" applyFont="1" applyFill="1" applyBorder="1" applyAlignment="1">
      <alignment horizontal="center" vertical="center" wrapText="1"/>
    </xf>
    <xf numFmtId="164" fontId="30" fillId="0" borderId="7" xfId="0" applyNumberFormat="1" applyFont="1" applyFill="1" applyBorder="1" applyAlignment="1">
      <alignment horizontal="center" vertical="center" wrapText="1"/>
    </xf>
    <xf numFmtId="3" fontId="30" fillId="5" borderId="28" xfId="0" applyNumberFormat="1" applyFont="1" applyFill="1" applyBorder="1" applyAlignment="1">
      <alignment horizontal="center" vertical="center" wrapText="1"/>
    </xf>
    <xf numFmtId="164" fontId="30" fillId="5" borderId="29" xfId="0" applyNumberFormat="1" applyFont="1" applyFill="1" applyBorder="1" applyAlignment="1">
      <alignment horizontal="center" vertical="center" wrapText="1"/>
    </xf>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166" fontId="28" fillId="0" borderId="9" xfId="0" applyNumberFormat="1" applyFont="1" applyFill="1" applyBorder="1" applyAlignment="1">
      <alignment horizontal="center" vertical="center" wrapText="1" readingOrder="1"/>
    </xf>
    <xf numFmtId="164" fontId="28" fillId="0" borderId="9" xfId="0" applyNumberFormat="1" applyFont="1" applyBorder="1" applyAlignment="1">
      <alignment horizontal="center" vertical="center" wrapText="1" readingOrder="1"/>
    </xf>
    <xf numFmtId="3" fontId="29" fillId="0" borderId="9"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9" fillId="2" borderId="43" xfId="0" applyFont="1" applyFill="1" applyBorder="1" applyAlignment="1">
      <alignment vertical="center" wrapText="1"/>
    </xf>
    <xf numFmtId="0" fontId="10" fillId="2" borderId="45" xfId="0" applyFont="1" applyFill="1" applyBorder="1" applyAlignment="1">
      <alignment wrapText="1"/>
    </xf>
    <xf numFmtId="0" fontId="10" fillId="2" borderId="22" xfId="0" applyFont="1" applyFill="1" applyBorder="1" applyAlignment="1">
      <alignment wrapText="1"/>
    </xf>
    <xf numFmtId="0" fontId="10" fillId="2" borderId="9" xfId="0" applyFont="1" applyFill="1" applyBorder="1" applyAlignment="1">
      <alignment wrapText="1"/>
    </xf>
    <xf numFmtId="0" fontId="10" fillId="2" borderId="46" xfId="0" applyFont="1" applyFill="1" applyBorder="1" applyAlignment="1">
      <alignment wrapText="1"/>
    </xf>
    <xf numFmtId="0" fontId="10" fillId="2" borderId="10" xfId="0" applyFont="1" applyFill="1" applyBorder="1" applyAlignment="1">
      <alignment wrapText="1"/>
    </xf>
    <xf numFmtId="0" fontId="5" fillId="0" borderId="44" xfId="0" applyFont="1" applyBorder="1" applyAlignment="1">
      <alignment vertical="center" wrapText="1"/>
    </xf>
    <xf numFmtId="0" fontId="5" fillId="0" borderId="0" xfId="0" applyFont="1" applyBorder="1" applyAlignment="1">
      <alignment vertical="center" wrapText="1"/>
    </xf>
    <xf numFmtId="0" fontId="5" fillId="0" borderId="42" xfId="0" applyFont="1" applyBorder="1" applyAlignment="1">
      <alignment vertical="center" wrapText="1"/>
    </xf>
    <xf numFmtId="49" fontId="5" fillId="0" borderId="49"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0" fontId="5" fillId="0" borderId="41" xfId="0" applyFont="1" applyFill="1" applyBorder="1" applyAlignment="1">
      <alignment vertical="top" wrapText="1"/>
    </xf>
    <xf numFmtId="0" fontId="5" fillId="0" borderId="0" xfId="0" applyFont="1" applyFill="1" applyBorder="1" applyAlignment="1">
      <alignment vertical="top"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0" fontId="5" fillId="0" borderId="49" xfId="0" applyFont="1" applyFill="1" applyBorder="1" applyAlignment="1">
      <alignment vertical="center" wrapText="1"/>
    </xf>
    <xf numFmtId="0" fontId="5" fillId="0" borderId="21" xfId="0" applyFont="1" applyFill="1" applyBorder="1" applyAlignment="1">
      <alignment vertical="center" wrapText="1"/>
    </xf>
    <xf numFmtId="0" fontId="5" fillId="0" borderId="3" xfId="0" applyFont="1" applyFill="1" applyBorder="1" applyAlignment="1">
      <alignment vertical="center" wrapText="1"/>
    </xf>
    <xf numFmtId="0" fontId="5" fillId="0" borderId="32" xfId="0" applyFont="1" applyFill="1" applyBorder="1" applyAlignment="1">
      <alignment vertical="center" wrapText="1"/>
    </xf>
    <xf numFmtId="0" fontId="5" fillId="0" borderId="37" xfId="0" applyFont="1" applyFill="1" applyBorder="1" applyAlignment="1">
      <alignment vertical="center" wrapText="1"/>
    </xf>
    <xf numFmtId="0" fontId="5" fillId="0" borderId="16" xfId="0" applyFont="1" applyFill="1" applyBorder="1" applyAlignment="1">
      <alignment vertical="center" wrapText="1"/>
    </xf>
    <xf numFmtId="0" fontId="2" fillId="3" borderId="17" xfId="0" applyFont="1" applyFill="1" applyBorder="1" applyAlignment="1"/>
    <xf numFmtId="0" fontId="2" fillId="3" borderId="5" xfId="0" applyFont="1" applyFill="1" applyBorder="1" applyAlignment="1"/>
    <xf numFmtId="49" fontId="5" fillId="0" borderId="32"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7" fillId="0" borderId="47" xfId="0" applyFont="1" applyBorder="1" applyAlignment="1">
      <alignment horizontal="right" vertical="center" wrapText="1"/>
    </xf>
    <xf numFmtId="0" fontId="7" fillId="0" borderId="25"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64" fontId="12" fillId="0" borderId="0" xfId="0" applyNumberFormat="1" applyFont="1" applyFill="1" applyBorder="1" applyAlignment="1">
      <alignment horizontal="righ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topLeftCell="A25" zoomScaleNormal="100" zoomScaleSheetLayoutView="100" workbookViewId="0">
      <selection activeCell="J26" sqref="J2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74</v>
      </c>
      <c r="B1" s="173" t="s">
        <v>32</v>
      </c>
      <c r="C1" s="174"/>
      <c r="D1" s="174"/>
      <c r="E1" s="6"/>
      <c r="F1" s="14"/>
      <c r="G1" s="178" t="s">
        <v>85</v>
      </c>
      <c r="H1" s="179"/>
      <c r="I1" s="179"/>
      <c r="J1" s="179"/>
      <c r="K1" s="179"/>
      <c r="L1" s="179"/>
    </row>
    <row r="2" spans="1:12" s="3" customFormat="1" ht="16.5" customHeight="1" thickBot="1" x14ac:dyDescent="0.3">
      <c r="A2" s="175" t="s">
        <v>3</v>
      </c>
      <c r="B2" s="176"/>
      <c r="C2" s="176"/>
      <c r="D2" s="57"/>
      <c r="E2" s="57"/>
      <c r="F2" s="15"/>
      <c r="G2" s="177" t="s">
        <v>4</v>
      </c>
      <c r="H2" s="176"/>
      <c r="I2" s="176"/>
      <c r="J2" s="176"/>
      <c r="K2" s="67"/>
      <c r="L2" s="139"/>
    </row>
    <row r="3" spans="1:12" s="1" customFormat="1" ht="15.75" thickBot="1" x14ac:dyDescent="0.3">
      <c r="A3" s="51" t="s">
        <v>2</v>
      </c>
      <c r="B3" s="52" t="s">
        <v>81</v>
      </c>
      <c r="C3" s="52" t="s">
        <v>82</v>
      </c>
      <c r="D3" s="56" t="s">
        <v>0</v>
      </c>
      <c r="E3" s="54" t="s">
        <v>1</v>
      </c>
      <c r="F3" s="44"/>
      <c r="G3" s="51" t="s">
        <v>2</v>
      </c>
      <c r="H3" s="52" t="s">
        <v>81</v>
      </c>
      <c r="I3" s="52" t="s">
        <v>82</v>
      </c>
      <c r="J3" s="53" t="s">
        <v>0</v>
      </c>
      <c r="K3" s="54" t="s">
        <v>1</v>
      </c>
      <c r="L3" s="133" t="s">
        <v>36</v>
      </c>
    </row>
    <row r="4" spans="1:12" ht="15" x14ac:dyDescent="0.25">
      <c r="A4" s="55" t="s">
        <v>19</v>
      </c>
      <c r="B4" s="58">
        <v>713</v>
      </c>
      <c r="C4" s="58">
        <v>812</v>
      </c>
      <c r="D4" s="167">
        <f t="shared" ref="D4:D23" si="0">C4-B4</f>
        <v>99</v>
      </c>
      <c r="E4" s="168">
        <f t="shared" ref="E4:E19" si="1">D4/B4</f>
        <v>0.13884992987377279</v>
      </c>
      <c r="F4" s="21"/>
      <c r="G4" s="50" t="s">
        <v>19</v>
      </c>
      <c r="H4" s="49">
        <v>142</v>
      </c>
      <c r="I4" s="49">
        <v>139</v>
      </c>
      <c r="J4" s="157">
        <f>I4-H4</f>
        <v>-3</v>
      </c>
      <c r="K4" s="158">
        <f>J4/H4</f>
        <v>-2.1126760563380281E-2</v>
      </c>
      <c r="L4" s="156" t="s">
        <v>84</v>
      </c>
    </row>
    <row r="5" spans="1:12" ht="15" x14ac:dyDescent="0.25">
      <c r="A5" s="22" t="s">
        <v>20</v>
      </c>
      <c r="B5" s="58">
        <v>837</v>
      </c>
      <c r="C5" s="58">
        <v>837</v>
      </c>
      <c r="D5" s="215">
        <f t="shared" si="0"/>
        <v>0</v>
      </c>
      <c r="E5" s="216">
        <f t="shared" si="1"/>
        <v>0</v>
      </c>
      <c r="F5" s="21"/>
      <c r="G5" s="18" t="s">
        <v>20</v>
      </c>
      <c r="H5" s="49">
        <v>248</v>
      </c>
      <c r="I5" s="49">
        <v>226</v>
      </c>
      <c r="J5" s="114">
        <f t="shared" ref="J5:J27" si="2">I5-H5</f>
        <v>-22</v>
      </c>
      <c r="K5" s="115">
        <f t="shared" ref="K5:K27" si="3">J5/H5</f>
        <v>-8.8709677419354843E-2</v>
      </c>
      <c r="L5" s="156" t="s">
        <v>86</v>
      </c>
    </row>
    <row r="6" spans="1:12" ht="15" x14ac:dyDescent="0.25">
      <c r="A6" s="22" t="s">
        <v>24</v>
      </c>
      <c r="B6" s="58">
        <v>1124</v>
      </c>
      <c r="C6" s="58">
        <v>837</v>
      </c>
      <c r="D6" s="104">
        <f t="shared" si="0"/>
        <v>-287</v>
      </c>
      <c r="E6" s="71">
        <f t="shared" si="1"/>
        <v>-0.25533807829181493</v>
      </c>
      <c r="F6" s="21"/>
      <c r="G6" s="18" t="s">
        <v>24</v>
      </c>
      <c r="H6" s="49">
        <v>416</v>
      </c>
      <c r="I6" s="49">
        <v>352</v>
      </c>
      <c r="J6" s="114">
        <f t="shared" si="2"/>
        <v>-64</v>
      </c>
      <c r="K6" s="115">
        <f t="shared" si="3"/>
        <v>-0.15384615384615385</v>
      </c>
      <c r="L6" s="159" t="s">
        <v>95</v>
      </c>
    </row>
    <row r="7" spans="1:12" ht="15.75" customHeight="1" x14ac:dyDescent="0.25">
      <c r="A7" s="22" t="s">
        <v>48</v>
      </c>
      <c r="B7" s="58">
        <v>2254</v>
      </c>
      <c r="C7" s="58">
        <v>2209</v>
      </c>
      <c r="D7" s="104">
        <f t="shared" si="0"/>
        <v>-45</v>
      </c>
      <c r="E7" s="121">
        <f t="shared" si="1"/>
        <v>-1.9964507542147295E-2</v>
      </c>
      <c r="F7" s="217"/>
      <c r="G7" s="22" t="s">
        <v>48</v>
      </c>
      <c r="H7" s="49">
        <v>386</v>
      </c>
      <c r="I7" s="49">
        <v>391</v>
      </c>
      <c r="J7" s="124">
        <f t="shared" si="2"/>
        <v>5</v>
      </c>
      <c r="K7" s="125">
        <f t="shared" si="3"/>
        <v>1.2953367875647668E-2</v>
      </c>
      <c r="L7" s="159" t="s">
        <v>96</v>
      </c>
    </row>
    <row r="8" spans="1:12" ht="15" x14ac:dyDescent="0.25">
      <c r="A8" s="22" t="s">
        <v>35</v>
      </c>
      <c r="B8" s="58">
        <v>168</v>
      </c>
      <c r="C8" s="58">
        <v>153</v>
      </c>
      <c r="D8" s="104">
        <f t="shared" si="0"/>
        <v>-15</v>
      </c>
      <c r="E8" s="71">
        <f t="shared" si="1"/>
        <v>-8.9285714285714288E-2</v>
      </c>
      <c r="F8" s="21"/>
      <c r="G8" s="18" t="s">
        <v>35</v>
      </c>
      <c r="H8" s="49">
        <v>82</v>
      </c>
      <c r="I8" s="49">
        <v>69</v>
      </c>
      <c r="J8" s="114">
        <f t="shared" si="2"/>
        <v>-13</v>
      </c>
      <c r="K8" s="115">
        <f t="shared" si="3"/>
        <v>-0.15853658536585366</v>
      </c>
      <c r="L8" s="159" t="s">
        <v>78</v>
      </c>
    </row>
    <row r="9" spans="1:12" ht="15" x14ac:dyDescent="0.25">
      <c r="A9" s="22" t="s">
        <v>46</v>
      </c>
      <c r="B9" s="58">
        <v>931</v>
      </c>
      <c r="C9" s="58">
        <v>721</v>
      </c>
      <c r="D9" s="104">
        <f t="shared" si="0"/>
        <v>-210</v>
      </c>
      <c r="E9" s="71">
        <f t="shared" si="1"/>
        <v>-0.22556390977443608</v>
      </c>
      <c r="F9" s="21"/>
      <c r="G9" s="22" t="s">
        <v>46</v>
      </c>
      <c r="H9" s="49">
        <v>294</v>
      </c>
      <c r="I9" s="49">
        <v>228</v>
      </c>
      <c r="J9" s="114">
        <f t="shared" si="2"/>
        <v>-66</v>
      </c>
      <c r="K9" s="115">
        <f t="shared" si="3"/>
        <v>-0.22448979591836735</v>
      </c>
      <c r="L9" s="159" t="s">
        <v>97</v>
      </c>
    </row>
    <row r="10" spans="1:12" ht="15" x14ac:dyDescent="0.25">
      <c r="A10" s="22" t="s">
        <v>67</v>
      </c>
      <c r="B10" s="58">
        <v>2557</v>
      </c>
      <c r="C10" s="58">
        <v>2230</v>
      </c>
      <c r="D10" s="120">
        <f t="shared" si="0"/>
        <v>-327</v>
      </c>
      <c r="E10" s="121">
        <f t="shared" si="1"/>
        <v>-0.12788423934298004</v>
      </c>
      <c r="F10" s="21"/>
      <c r="G10" s="18" t="s">
        <v>67</v>
      </c>
      <c r="H10" s="49">
        <v>565</v>
      </c>
      <c r="I10" s="49">
        <v>552</v>
      </c>
      <c r="J10" s="114">
        <f t="shared" si="2"/>
        <v>-13</v>
      </c>
      <c r="K10" s="115">
        <f t="shared" si="3"/>
        <v>-2.3008849557522124E-2</v>
      </c>
      <c r="L10" s="159" t="s">
        <v>87</v>
      </c>
    </row>
    <row r="11" spans="1:12" ht="14.25" customHeight="1" x14ac:dyDescent="0.25">
      <c r="A11" s="22" t="s">
        <v>33</v>
      </c>
      <c r="B11" s="58">
        <v>360</v>
      </c>
      <c r="C11" s="58">
        <v>162</v>
      </c>
      <c r="D11" s="104">
        <f t="shared" si="0"/>
        <v>-198</v>
      </c>
      <c r="E11" s="71">
        <f t="shared" si="1"/>
        <v>-0.55000000000000004</v>
      </c>
      <c r="F11" s="21"/>
      <c r="G11" s="18" t="s">
        <v>33</v>
      </c>
      <c r="H11" s="49">
        <v>178</v>
      </c>
      <c r="I11" s="49">
        <v>97</v>
      </c>
      <c r="J11" s="114">
        <f t="shared" si="2"/>
        <v>-81</v>
      </c>
      <c r="K11" s="115">
        <f t="shared" si="3"/>
        <v>-0.4550561797752809</v>
      </c>
      <c r="L11" s="159" t="s">
        <v>79</v>
      </c>
    </row>
    <row r="12" spans="1:12" ht="15" x14ac:dyDescent="0.25">
      <c r="A12" s="22" t="s">
        <v>47</v>
      </c>
      <c r="B12" s="58">
        <v>3498</v>
      </c>
      <c r="C12" s="58">
        <v>3080</v>
      </c>
      <c r="D12" s="104">
        <f t="shared" si="0"/>
        <v>-418</v>
      </c>
      <c r="E12" s="71">
        <f t="shared" si="1"/>
        <v>-0.11949685534591195</v>
      </c>
      <c r="F12" s="21"/>
      <c r="G12" s="18" t="s">
        <v>47</v>
      </c>
      <c r="H12" s="49">
        <v>471</v>
      </c>
      <c r="I12" s="49">
        <v>441</v>
      </c>
      <c r="J12" s="114">
        <f t="shared" si="2"/>
        <v>-30</v>
      </c>
      <c r="K12" s="115">
        <f t="shared" si="3"/>
        <v>-6.3694267515923567E-2</v>
      </c>
      <c r="L12" s="159" t="s">
        <v>88</v>
      </c>
    </row>
    <row r="13" spans="1:12" ht="15" customHeight="1" x14ac:dyDescent="0.25">
      <c r="A13" s="22" t="s">
        <v>38</v>
      </c>
      <c r="B13" s="58">
        <v>822</v>
      </c>
      <c r="C13" s="58">
        <v>778</v>
      </c>
      <c r="D13" s="104">
        <f t="shared" si="0"/>
        <v>-44</v>
      </c>
      <c r="E13" s="71">
        <f t="shared" si="1"/>
        <v>-5.3527980535279802E-2</v>
      </c>
      <c r="F13" s="21"/>
      <c r="G13" s="18" t="s">
        <v>38</v>
      </c>
      <c r="H13" s="49">
        <v>156</v>
      </c>
      <c r="I13" s="49">
        <v>165</v>
      </c>
      <c r="J13" s="124">
        <f t="shared" si="2"/>
        <v>9</v>
      </c>
      <c r="K13" s="125">
        <f t="shared" si="3"/>
        <v>5.7692307692307696E-2</v>
      </c>
      <c r="L13" s="160" t="s">
        <v>89</v>
      </c>
    </row>
    <row r="14" spans="1:12" ht="14.25" customHeight="1" x14ac:dyDescent="0.25">
      <c r="A14" s="22" t="s">
        <v>21</v>
      </c>
      <c r="B14" s="58">
        <v>954</v>
      </c>
      <c r="C14" s="58">
        <v>1285</v>
      </c>
      <c r="D14" s="68">
        <f t="shared" si="0"/>
        <v>331</v>
      </c>
      <c r="E14" s="69">
        <f t="shared" si="1"/>
        <v>0.34696016771488469</v>
      </c>
      <c r="F14" s="21"/>
      <c r="G14" s="18" t="s">
        <v>21</v>
      </c>
      <c r="H14" s="49">
        <v>226</v>
      </c>
      <c r="I14" s="49">
        <v>251</v>
      </c>
      <c r="J14" s="124">
        <f t="shared" si="2"/>
        <v>25</v>
      </c>
      <c r="K14" s="125">
        <f t="shared" si="3"/>
        <v>0.11061946902654868</v>
      </c>
      <c r="L14" s="160" t="s">
        <v>90</v>
      </c>
    </row>
    <row r="15" spans="1:12" ht="15" x14ac:dyDescent="0.25">
      <c r="A15" s="22" t="s">
        <v>40</v>
      </c>
      <c r="B15" s="58">
        <v>132</v>
      </c>
      <c r="C15" s="58">
        <v>90</v>
      </c>
      <c r="D15" s="104">
        <f t="shared" si="0"/>
        <v>-42</v>
      </c>
      <c r="E15" s="71">
        <f t="shared" si="1"/>
        <v>-0.31818181818181818</v>
      </c>
      <c r="F15" s="21"/>
      <c r="G15" s="22" t="s">
        <v>40</v>
      </c>
      <c r="H15" s="49">
        <v>40</v>
      </c>
      <c r="I15" s="49">
        <v>10</v>
      </c>
      <c r="J15" s="114">
        <f t="shared" si="2"/>
        <v>-30</v>
      </c>
      <c r="K15" s="115">
        <f t="shared" si="3"/>
        <v>-0.75</v>
      </c>
      <c r="L15" s="159" t="s">
        <v>91</v>
      </c>
    </row>
    <row r="16" spans="1:12" ht="15" customHeight="1" x14ac:dyDescent="0.25">
      <c r="A16" s="22" t="s">
        <v>70</v>
      </c>
      <c r="B16" s="58">
        <v>974</v>
      </c>
      <c r="C16" s="58">
        <v>604</v>
      </c>
      <c r="D16" s="104">
        <f t="shared" si="0"/>
        <v>-370</v>
      </c>
      <c r="E16" s="71">
        <f t="shared" si="1"/>
        <v>-0.37987679671457908</v>
      </c>
      <c r="F16" s="21"/>
      <c r="G16" s="18" t="s">
        <v>69</v>
      </c>
      <c r="H16" s="49">
        <v>269</v>
      </c>
      <c r="I16" s="49">
        <v>183</v>
      </c>
      <c r="J16" s="114">
        <f t="shared" si="2"/>
        <v>-86</v>
      </c>
      <c r="K16" s="115">
        <f t="shared" si="3"/>
        <v>-0.31970260223048325</v>
      </c>
      <c r="L16" s="159" t="s">
        <v>98</v>
      </c>
    </row>
    <row r="17" spans="1:12" ht="15" x14ac:dyDescent="0.25">
      <c r="A17" s="18" t="s">
        <v>37</v>
      </c>
      <c r="B17" s="58">
        <v>177</v>
      </c>
      <c r="C17" s="58">
        <v>359</v>
      </c>
      <c r="D17" s="68">
        <f t="shared" si="0"/>
        <v>182</v>
      </c>
      <c r="E17" s="69">
        <f t="shared" si="1"/>
        <v>1.0282485875706215</v>
      </c>
      <c r="F17" s="21"/>
      <c r="G17" s="18" t="s">
        <v>37</v>
      </c>
      <c r="H17" s="49">
        <v>64</v>
      </c>
      <c r="I17" s="49">
        <v>80</v>
      </c>
      <c r="J17" s="124">
        <f t="shared" si="2"/>
        <v>16</v>
      </c>
      <c r="K17" s="125">
        <f t="shared" si="3"/>
        <v>0.25</v>
      </c>
      <c r="L17" s="159" t="s">
        <v>83</v>
      </c>
    </row>
    <row r="18" spans="1:12" ht="15" x14ac:dyDescent="0.25">
      <c r="A18" s="22" t="s">
        <v>22</v>
      </c>
      <c r="B18" s="58">
        <v>5283</v>
      </c>
      <c r="C18" s="58">
        <v>4748</v>
      </c>
      <c r="D18" s="104">
        <f t="shared" si="0"/>
        <v>-535</v>
      </c>
      <c r="E18" s="71">
        <f t="shared" si="1"/>
        <v>-0.1012682188150672</v>
      </c>
      <c r="F18" s="21"/>
      <c r="G18" s="18" t="s">
        <v>22</v>
      </c>
      <c r="H18" s="49">
        <v>538</v>
      </c>
      <c r="I18" s="49">
        <v>458</v>
      </c>
      <c r="J18" s="114">
        <f t="shared" si="2"/>
        <v>-80</v>
      </c>
      <c r="K18" s="115">
        <f t="shared" si="3"/>
        <v>-0.14869888475836432</v>
      </c>
      <c r="L18" s="159" t="s">
        <v>92</v>
      </c>
    </row>
    <row r="19" spans="1:12" ht="15.75" customHeight="1" x14ac:dyDescent="0.25">
      <c r="A19" s="22" t="s">
        <v>41</v>
      </c>
      <c r="B19" s="58">
        <v>1290</v>
      </c>
      <c r="C19" s="58">
        <v>1375</v>
      </c>
      <c r="D19" s="68">
        <f t="shared" si="0"/>
        <v>85</v>
      </c>
      <c r="E19" s="69">
        <f t="shared" si="1"/>
        <v>6.589147286821706E-2</v>
      </c>
      <c r="F19" s="21"/>
      <c r="G19" s="18" t="s">
        <v>41</v>
      </c>
      <c r="H19" s="49">
        <v>297</v>
      </c>
      <c r="I19" s="49">
        <v>336</v>
      </c>
      <c r="J19" s="124">
        <f t="shared" si="2"/>
        <v>39</v>
      </c>
      <c r="K19" s="125">
        <f t="shared" si="3"/>
        <v>0.13131313131313133</v>
      </c>
      <c r="L19" s="159" t="s">
        <v>99</v>
      </c>
    </row>
    <row r="20" spans="1:12" ht="15" x14ac:dyDescent="0.25">
      <c r="A20" s="22" t="s">
        <v>43</v>
      </c>
      <c r="B20" s="58">
        <v>0</v>
      </c>
      <c r="C20" s="58">
        <v>4</v>
      </c>
      <c r="D20" s="68">
        <f t="shared" si="0"/>
        <v>4</v>
      </c>
      <c r="E20" s="69" t="s">
        <v>45</v>
      </c>
      <c r="F20" s="21"/>
      <c r="G20" s="18" t="s">
        <v>65</v>
      </c>
      <c r="H20" s="49">
        <v>36</v>
      </c>
      <c r="I20" s="49">
        <v>18</v>
      </c>
      <c r="J20" s="114">
        <f t="shared" si="2"/>
        <v>-18</v>
      </c>
      <c r="K20" s="115">
        <f t="shared" si="3"/>
        <v>-0.5</v>
      </c>
      <c r="L20" s="159" t="s">
        <v>93</v>
      </c>
    </row>
    <row r="21" spans="1:12" ht="15" customHeight="1" x14ac:dyDescent="0.25">
      <c r="A21" s="22" t="s">
        <v>6</v>
      </c>
      <c r="B21" s="58">
        <v>0</v>
      </c>
      <c r="C21" s="58">
        <v>0</v>
      </c>
      <c r="D21" s="147">
        <f>C21-B21</f>
        <v>0</v>
      </c>
      <c r="E21" s="148" t="s">
        <v>45</v>
      </c>
      <c r="F21" s="21"/>
      <c r="G21" s="18" t="s">
        <v>23</v>
      </c>
      <c r="H21" s="49">
        <v>1158</v>
      </c>
      <c r="I21" s="49">
        <v>1036</v>
      </c>
      <c r="J21" s="120">
        <f t="shared" si="2"/>
        <v>-122</v>
      </c>
      <c r="K21" s="121">
        <f t="shared" si="3"/>
        <v>-0.10535405872193437</v>
      </c>
      <c r="L21" s="161" t="s">
        <v>94</v>
      </c>
    </row>
    <row r="22" spans="1:12" ht="15" customHeight="1" x14ac:dyDescent="0.25">
      <c r="A22" s="34" t="s">
        <v>23</v>
      </c>
      <c r="B22" s="58">
        <v>0</v>
      </c>
      <c r="C22" s="58">
        <v>0</v>
      </c>
      <c r="D22" s="147">
        <f>C22-B22</f>
        <v>0</v>
      </c>
      <c r="E22" s="148" t="s">
        <v>45</v>
      </c>
      <c r="F22" s="93"/>
      <c r="G22" s="126" t="s">
        <v>66</v>
      </c>
      <c r="H22" s="49">
        <v>0</v>
      </c>
      <c r="I22" s="49">
        <v>9</v>
      </c>
      <c r="J22" s="124">
        <f t="shared" ref="J22" si="4">I22-H22</f>
        <v>9</v>
      </c>
      <c r="K22" s="125" t="s">
        <v>45</v>
      </c>
      <c r="L22" s="161" t="s">
        <v>80</v>
      </c>
    </row>
    <row r="23" spans="1:12" ht="15" customHeight="1" x14ac:dyDescent="0.25">
      <c r="A23" s="34" t="s">
        <v>62</v>
      </c>
      <c r="B23" s="100">
        <v>3</v>
      </c>
      <c r="C23" s="101">
        <v>65</v>
      </c>
      <c r="D23" s="68">
        <f t="shared" si="0"/>
        <v>62</v>
      </c>
      <c r="E23" s="69" t="s">
        <v>45</v>
      </c>
      <c r="F23" s="93"/>
      <c r="G23" s="127"/>
      <c r="H23" s="49"/>
      <c r="I23" s="49"/>
      <c r="J23" s="114"/>
      <c r="K23" s="115"/>
      <c r="L23" s="134"/>
    </row>
    <row r="24" spans="1:12" ht="14.25" customHeight="1" x14ac:dyDescent="0.25">
      <c r="A24" s="35" t="s">
        <v>31</v>
      </c>
      <c r="B24" s="59">
        <f>SUM(B4:B23)</f>
        <v>22077</v>
      </c>
      <c r="C24" s="59">
        <f>SUM(C4:C23)</f>
        <v>20349</v>
      </c>
      <c r="D24" s="162">
        <f>C24-B24</f>
        <v>-1728</v>
      </c>
      <c r="E24" s="117">
        <f>D24/B24</f>
        <v>-7.8271504280472887E-2</v>
      </c>
      <c r="F24" s="103"/>
      <c r="G24" s="102" t="s">
        <v>72</v>
      </c>
      <c r="H24" s="48">
        <f>SUM(H4:H22)</f>
        <v>5566</v>
      </c>
      <c r="I24" s="48">
        <f>SUM(I4:I22)</f>
        <v>5041</v>
      </c>
      <c r="J24" s="122">
        <f>I24-H24</f>
        <v>-525</v>
      </c>
      <c r="K24" s="123">
        <f>J24/H24</f>
        <v>-9.4322673374056767E-2</v>
      </c>
      <c r="L24" s="135"/>
    </row>
    <row r="25" spans="1:12" ht="14.25" customHeight="1" x14ac:dyDescent="0.25">
      <c r="A25" s="32" t="s">
        <v>14</v>
      </c>
      <c r="B25" s="98">
        <v>1397</v>
      </c>
      <c r="C25" s="99">
        <v>1297</v>
      </c>
      <c r="D25" s="163">
        <f t="shared" ref="D25" si="5">C25-B25</f>
        <v>-100</v>
      </c>
      <c r="E25" s="164">
        <f t="shared" ref="E25:E26" si="6">D25/B25</f>
        <v>-7.158196134574088E-2</v>
      </c>
      <c r="F25" s="23"/>
      <c r="G25" s="32" t="s">
        <v>14</v>
      </c>
      <c r="H25" s="61">
        <v>363</v>
      </c>
      <c r="I25" s="61">
        <v>326</v>
      </c>
      <c r="J25" s="144">
        <f>I25-H25</f>
        <v>-37</v>
      </c>
      <c r="K25" s="145">
        <f>J25/H25</f>
        <v>-0.10192837465564739</v>
      </c>
      <c r="L25" s="146"/>
    </row>
    <row r="26" spans="1:12" ht="15" customHeight="1" x14ac:dyDescent="0.25">
      <c r="A26" s="94" t="s">
        <v>68</v>
      </c>
      <c r="B26" s="43">
        <v>0</v>
      </c>
      <c r="C26" s="43">
        <v>411</v>
      </c>
      <c r="D26" s="171">
        <f>C26-B26</f>
        <v>411</v>
      </c>
      <c r="E26" s="172" t="e">
        <f t="shared" si="6"/>
        <v>#DIV/0!</v>
      </c>
      <c r="F26" s="93"/>
      <c r="G26" s="94" t="s">
        <v>68</v>
      </c>
      <c r="H26" s="106">
        <v>0</v>
      </c>
      <c r="I26" s="107">
        <v>98</v>
      </c>
      <c r="J26" s="108">
        <f>I26-H26</f>
        <v>98</v>
      </c>
      <c r="K26" s="130" t="s">
        <v>45</v>
      </c>
      <c r="L26" s="136"/>
    </row>
    <row r="27" spans="1:12" ht="18" customHeight="1" thickBot="1" x14ac:dyDescent="0.3">
      <c r="A27" s="89" t="s">
        <v>44</v>
      </c>
      <c r="B27" s="90">
        <f>SUM(B24:B26)</f>
        <v>23474</v>
      </c>
      <c r="C27" s="90">
        <f>SUM(C24:C26)</f>
        <v>22057</v>
      </c>
      <c r="D27" s="165">
        <f t="shared" ref="D27" si="7">C27-B27</f>
        <v>-1417</v>
      </c>
      <c r="E27" s="166">
        <f t="shared" ref="E27" si="8">D27/B27</f>
        <v>-6.0364658771406662E-2</v>
      </c>
      <c r="F27" s="24"/>
      <c r="G27" s="33" t="s">
        <v>44</v>
      </c>
      <c r="H27" s="60">
        <f>SUM(H24:H26)</f>
        <v>5929</v>
      </c>
      <c r="I27" s="60">
        <f>SUM(I24:I26)</f>
        <v>5465</v>
      </c>
      <c r="J27" s="128">
        <f t="shared" si="2"/>
        <v>-464</v>
      </c>
      <c r="K27" s="129">
        <f t="shared" si="3"/>
        <v>-7.8259402934727607E-2</v>
      </c>
      <c r="L27" s="189" t="s">
        <v>75</v>
      </c>
    </row>
    <row r="28" spans="1:12" ht="14.25" customHeight="1" thickTop="1" x14ac:dyDescent="0.2">
      <c r="A28" s="186" t="s">
        <v>9</v>
      </c>
      <c r="B28" s="186"/>
      <c r="C28" s="186"/>
      <c r="D28" s="186"/>
      <c r="E28" s="186"/>
      <c r="F28" s="25"/>
      <c r="G28" s="180"/>
      <c r="H28" s="181"/>
      <c r="I28" s="181"/>
      <c r="J28" s="181"/>
      <c r="K28" s="181"/>
      <c r="L28" s="190"/>
    </row>
    <row r="29" spans="1:12" s="13" customFormat="1" ht="13.5" customHeight="1" x14ac:dyDescent="0.2">
      <c r="A29" s="187"/>
      <c r="B29" s="187"/>
      <c r="C29" s="187"/>
      <c r="D29" s="187"/>
      <c r="E29" s="187"/>
      <c r="F29" s="17"/>
      <c r="G29" s="182"/>
      <c r="H29" s="183"/>
      <c r="I29" s="183"/>
      <c r="J29" s="183"/>
      <c r="K29" s="183"/>
      <c r="L29" s="190"/>
    </row>
    <row r="30" spans="1:12" ht="10.5" customHeight="1" thickBot="1" x14ac:dyDescent="0.25">
      <c r="A30" s="188"/>
      <c r="B30" s="188"/>
      <c r="C30" s="188"/>
      <c r="D30" s="188"/>
      <c r="E30" s="188"/>
      <c r="F30" s="17"/>
      <c r="G30" s="184"/>
      <c r="H30" s="185"/>
      <c r="I30" s="185"/>
      <c r="J30" s="185"/>
      <c r="K30" s="185"/>
      <c r="L30" s="191"/>
    </row>
    <row r="31" spans="1:12" s="13" customFormat="1" ht="13.5" customHeight="1" thickBot="1" x14ac:dyDescent="0.25">
      <c r="A31" s="73" t="s">
        <v>61</v>
      </c>
      <c r="B31" s="19">
        <v>2018</v>
      </c>
      <c r="C31" s="19">
        <v>2019</v>
      </c>
      <c r="D31" s="87" t="s">
        <v>0</v>
      </c>
      <c r="E31" s="88" t="s">
        <v>1</v>
      </c>
      <c r="F31" s="25"/>
      <c r="G31" s="63" t="s">
        <v>59</v>
      </c>
      <c r="H31" s="19">
        <v>2018</v>
      </c>
      <c r="I31" s="19">
        <v>2019</v>
      </c>
      <c r="J31" s="19" t="s">
        <v>0</v>
      </c>
      <c r="K31" s="20" t="s">
        <v>1</v>
      </c>
      <c r="L31" s="137"/>
    </row>
    <row r="32" spans="1:12" ht="17.25" customHeight="1" x14ac:dyDescent="0.25">
      <c r="A32" s="74" t="s">
        <v>26</v>
      </c>
      <c r="B32" s="86">
        <f>214+36</f>
        <v>250</v>
      </c>
      <c r="C32" s="62">
        <f>230+31</f>
        <v>261</v>
      </c>
      <c r="D32" s="169">
        <f>C32-B32</f>
        <v>11</v>
      </c>
      <c r="E32" s="170">
        <f>D32/B32</f>
        <v>4.3999999999999997E-2</v>
      </c>
      <c r="F32" s="26"/>
      <c r="G32" s="45" t="s">
        <v>7</v>
      </c>
      <c r="H32" s="76">
        <f>190+552+788+1649+24+6+485</f>
        <v>3694</v>
      </c>
      <c r="I32" s="76">
        <f>192+485+665+1457+30+3+440</f>
        <v>3272</v>
      </c>
      <c r="J32" s="104">
        <f>I32-H32</f>
        <v>-422</v>
      </c>
      <c r="K32" s="70">
        <f>J32/H32</f>
        <v>-0.11423930698429886</v>
      </c>
      <c r="L32" s="203" t="s">
        <v>49</v>
      </c>
    </row>
    <row r="33" spans="1:12" s="3" customFormat="1" ht="16.5" customHeight="1" x14ac:dyDescent="0.25">
      <c r="A33" s="75" t="s">
        <v>5</v>
      </c>
      <c r="B33" s="86">
        <v>600</v>
      </c>
      <c r="C33" s="62">
        <v>530</v>
      </c>
      <c r="D33" s="72">
        <f t="shared" ref="D33:D35" si="9">C33-B33</f>
        <v>-70</v>
      </c>
      <c r="E33" s="105">
        <f t="shared" ref="E33:E35" si="10">D33/B33</f>
        <v>-0.11666666666666667</v>
      </c>
      <c r="F33" s="26"/>
      <c r="G33" s="22" t="s">
        <v>8</v>
      </c>
      <c r="H33" s="112">
        <f>5492+4763+3268+1792+27</f>
        <v>15342</v>
      </c>
      <c r="I33" s="77">
        <f>5094+4005+3022+1546+42</f>
        <v>13709</v>
      </c>
      <c r="J33" s="104">
        <f>I33-H33</f>
        <v>-1633</v>
      </c>
      <c r="K33" s="70">
        <f>J33/H33</f>
        <v>-0.10643983835223569</v>
      </c>
      <c r="L33" s="204"/>
    </row>
    <row r="34" spans="1:12" ht="15" customHeight="1" x14ac:dyDescent="0.25">
      <c r="A34" s="75" t="s">
        <v>27</v>
      </c>
      <c r="B34" s="86">
        <v>850</v>
      </c>
      <c r="C34" s="62">
        <v>713</v>
      </c>
      <c r="D34" s="72">
        <f t="shared" si="9"/>
        <v>-137</v>
      </c>
      <c r="E34" s="105">
        <f t="shared" si="10"/>
        <v>-0.16117647058823528</v>
      </c>
      <c r="F34" s="26"/>
      <c r="G34" s="46" t="s">
        <v>10</v>
      </c>
      <c r="H34" s="78">
        <f>H32+65+237+28+113+855</f>
        <v>4992</v>
      </c>
      <c r="I34" s="78">
        <f>I32+30+198+54+56+907</f>
        <v>4517</v>
      </c>
      <c r="J34" s="118">
        <f>I34-H34</f>
        <v>-475</v>
      </c>
      <c r="K34" s="119">
        <f>J34/H34</f>
        <v>-9.5152243589743585E-2</v>
      </c>
      <c r="L34" s="204"/>
    </row>
    <row r="35" spans="1:12" ht="15.75" customHeight="1" thickBot="1" x14ac:dyDescent="0.3">
      <c r="A35" s="75" t="s">
        <v>28</v>
      </c>
      <c r="B35" s="86">
        <v>1764</v>
      </c>
      <c r="C35" s="62">
        <v>1563</v>
      </c>
      <c r="D35" s="72">
        <f t="shared" si="9"/>
        <v>-201</v>
      </c>
      <c r="E35" s="105">
        <f t="shared" si="10"/>
        <v>-0.11394557823129252</v>
      </c>
      <c r="F35" s="26"/>
      <c r="G35" s="47" t="s">
        <v>11</v>
      </c>
      <c r="H35" s="113">
        <f>H33+18+19+7+3+2839+1348+131+127+65</f>
        <v>19899</v>
      </c>
      <c r="I35" s="79">
        <f>I33+14+12+6+3209+932+180+87+118</f>
        <v>18267</v>
      </c>
      <c r="J35" s="149">
        <f>I35-H35</f>
        <v>-1632</v>
      </c>
      <c r="K35" s="150">
        <f>J35/H35</f>
        <v>-8.2014171566410374E-2</v>
      </c>
      <c r="L35" s="205"/>
    </row>
    <row r="36" spans="1:12" ht="15.75" customHeight="1" thickBot="1" x14ac:dyDescent="0.3">
      <c r="A36" s="41" t="s">
        <v>34</v>
      </c>
      <c r="B36" s="48">
        <f>SUM(B32:B35)</f>
        <v>3464</v>
      </c>
      <c r="C36" s="48">
        <f>SUM(C32:C35)</f>
        <v>3067</v>
      </c>
      <c r="D36" s="116">
        <f t="shared" ref="D36:D38" si="11">C36-B36</f>
        <v>-397</v>
      </c>
      <c r="E36" s="117">
        <f t="shared" ref="E36:E38" si="12">D36/B36</f>
        <v>-0.11460739030023094</v>
      </c>
      <c r="F36" s="26"/>
      <c r="G36" s="39"/>
      <c r="H36" s="80"/>
      <c r="I36" s="85"/>
      <c r="J36" s="92"/>
      <c r="K36" s="91"/>
      <c r="L36" s="208" t="s">
        <v>76</v>
      </c>
    </row>
    <row r="37" spans="1:12" ht="16.5" customHeight="1" thickBot="1" x14ac:dyDescent="0.3">
      <c r="A37" s="40" t="s">
        <v>30</v>
      </c>
      <c r="B37" s="49">
        <f>6+512</f>
        <v>518</v>
      </c>
      <c r="C37" s="49">
        <f>3+466</f>
        <v>469</v>
      </c>
      <c r="D37" s="72">
        <f t="shared" si="11"/>
        <v>-49</v>
      </c>
      <c r="E37" s="71">
        <f t="shared" si="12"/>
        <v>-9.45945945945946E-2</v>
      </c>
      <c r="F37" s="26"/>
      <c r="G37" s="64" t="s">
        <v>60</v>
      </c>
      <c r="H37" s="19">
        <v>2018</v>
      </c>
      <c r="I37" s="19">
        <v>2019</v>
      </c>
      <c r="J37" s="65" t="s">
        <v>0</v>
      </c>
      <c r="K37" s="66" t="s">
        <v>1</v>
      </c>
      <c r="L37" s="209"/>
    </row>
    <row r="38" spans="1:12" ht="15" customHeight="1" x14ac:dyDescent="0.25">
      <c r="A38" s="41" t="s">
        <v>6</v>
      </c>
      <c r="B38" s="48">
        <f>70+1034</f>
        <v>1104</v>
      </c>
      <c r="C38" s="48">
        <f>52+1049</f>
        <v>1101</v>
      </c>
      <c r="D38" s="116">
        <f t="shared" si="11"/>
        <v>-3</v>
      </c>
      <c r="E38" s="117">
        <f t="shared" si="12"/>
        <v>-2.717391304347826E-3</v>
      </c>
      <c r="F38" s="26"/>
      <c r="G38" s="36" t="s">
        <v>7</v>
      </c>
      <c r="H38" s="81">
        <f>24+48+62+115+12+27</f>
        <v>288</v>
      </c>
      <c r="I38" s="81">
        <f>38+45+48+106+1+26</f>
        <v>264</v>
      </c>
      <c r="J38" s="143">
        <f>I38-H38</f>
        <v>-24</v>
      </c>
      <c r="K38" s="142">
        <f>J38/H38</f>
        <v>-8.3333333333333329E-2</v>
      </c>
      <c r="L38" s="210"/>
    </row>
    <row r="39" spans="1:12" ht="14.25" customHeight="1" x14ac:dyDescent="0.25">
      <c r="A39" s="141" t="s">
        <v>63</v>
      </c>
      <c r="B39" s="48">
        <v>308</v>
      </c>
      <c r="C39" s="48">
        <v>263</v>
      </c>
      <c r="D39" s="116">
        <f>C39-B39</f>
        <v>-45</v>
      </c>
      <c r="E39" s="117">
        <f>D39/B39</f>
        <v>-0.1461038961038961</v>
      </c>
      <c r="F39" s="17"/>
      <c r="G39" s="18" t="s">
        <v>8</v>
      </c>
      <c r="H39" s="77">
        <f>572+326+222+85+30</f>
        <v>1235</v>
      </c>
      <c r="I39" s="82">
        <f>472+321+170+77+21</f>
        <v>1061</v>
      </c>
      <c r="J39" s="143">
        <f>I39-H39</f>
        <v>-174</v>
      </c>
      <c r="K39" s="142">
        <f>J39/H39</f>
        <v>-0.1408906882591093</v>
      </c>
      <c r="L39" s="200" t="s">
        <v>73</v>
      </c>
    </row>
    <row r="40" spans="1:12" ht="16.5" customHeight="1" x14ac:dyDescent="0.25">
      <c r="A40" s="41" t="s">
        <v>64</v>
      </c>
      <c r="B40" s="110">
        <v>55</v>
      </c>
      <c r="C40" s="111">
        <v>80</v>
      </c>
      <c r="D40" s="96">
        <f>C40-B40</f>
        <v>25</v>
      </c>
      <c r="E40" s="97">
        <f>D40/B40</f>
        <v>0.45454545454545453</v>
      </c>
      <c r="F40" s="17"/>
      <c r="G40" s="37" t="s">
        <v>12</v>
      </c>
      <c r="H40" s="83">
        <f>H38+5+71+27+4+179</f>
        <v>574</v>
      </c>
      <c r="I40" s="83">
        <f>I38+22+65+26+142+5</f>
        <v>524</v>
      </c>
      <c r="J40" s="153">
        <f>I40-H40</f>
        <v>-50</v>
      </c>
      <c r="K40" s="142">
        <f t="shared" ref="K40:K41" si="13">J40/H40</f>
        <v>-8.7108013937282236E-2</v>
      </c>
      <c r="L40" s="201"/>
    </row>
    <row r="41" spans="1:12" ht="15.75" customHeight="1" thickBot="1" x14ac:dyDescent="0.3">
      <c r="A41" s="42" t="s">
        <v>29</v>
      </c>
      <c r="B41" s="109">
        <v>117</v>
      </c>
      <c r="C41" s="109">
        <v>61</v>
      </c>
      <c r="D41" s="154">
        <f>C41-B41</f>
        <v>-56</v>
      </c>
      <c r="E41" s="155">
        <f>D41/B41</f>
        <v>-0.47863247863247865</v>
      </c>
      <c r="F41" s="17"/>
      <c r="G41" s="38" t="s">
        <v>13</v>
      </c>
      <c r="H41" s="79">
        <f>H39+4+3+3+599+157+24+53+101</f>
        <v>2179</v>
      </c>
      <c r="I41" s="84">
        <f>I39+662+147+40+37+134</f>
        <v>2081</v>
      </c>
      <c r="J41" s="151">
        <f>I41-H41</f>
        <v>-98</v>
      </c>
      <c r="K41" s="152">
        <f t="shared" si="13"/>
        <v>-4.4974759063790733E-2</v>
      </c>
      <c r="L41" s="201"/>
    </row>
    <row r="42" spans="1:12" ht="12" customHeight="1" thickBot="1" x14ac:dyDescent="0.25">
      <c r="A42" s="192" t="s">
        <v>71</v>
      </c>
      <c r="B42" s="192"/>
      <c r="C42" s="192"/>
      <c r="D42" s="192"/>
      <c r="E42" s="192"/>
      <c r="F42" s="17"/>
      <c r="G42" s="5"/>
      <c r="H42" s="9"/>
      <c r="I42" s="9"/>
      <c r="L42" s="201"/>
    </row>
    <row r="43" spans="1:12" ht="13.5" customHeight="1" thickBot="1" x14ac:dyDescent="0.25">
      <c r="A43" s="193"/>
      <c r="B43" s="193"/>
      <c r="C43" s="193"/>
      <c r="D43" s="193"/>
      <c r="E43" s="193"/>
      <c r="F43" s="17"/>
      <c r="G43" s="206" t="s">
        <v>25</v>
      </c>
      <c r="H43" s="207"/>
      <c r="I43" s="207"/>
      <c r="J43" s="19">
        <v>2017</v>
      </c>
      <c r="K43" s="20">
        <v>2018</v>
      </c>
      <c r="L43" s="202"/>
    </row>
    <row r="44" spans="1:12" ht="12.75" customHeight="1" x14ac:dyDescent="0.25">
      <c r="A44" s="193"/>
      <c r="B44" s="193"/>
      <c r="C44" s="193"/>
      <c r="D44" s="193"/>
      <c r="E44" s="193"/>
      <c r="F44" s="27"/>
      <c r="G44" s="196" t="s">
        <v>18</v>
      </c>
      <c r="H44" s="197"/>
      <c r="I44" s="197"/>
      <c r="J44" s="30">
        <f>H38/H24</f>
        <v>5.1742723679482572E-2</v>
      </c>
      <c r="K44" s="31">
        <f>I38/I24</f>
        <v>5.2370561396548304E-2</v>
      </c>
      <c r="L44" s="132" t="s">
        <v>58</v>
      </c>
    </row>
    <row r="45" spans="1:12" ht="12.75" customHeight="1" x14ac:dyDescent="0.25">
      <c r="A45" s="193"/>
      <c r="B45" s="193"/>
      <c r="C45" s="193"/>
      <c r="D45" s="193"/>
      <c r="E45" s="193"/>
      <c r="F45" s="27"/>
      <c r="G45" s="194" t="s">
        <v>15</v>
      </c>
      <c r="H45" s="195"/>
      <c r="I45" s="195"/>
      <c r="J45" s="30">
        <f>H39/B24</f>
        <v>5.5940571635638897E-2</v>
      </c>
      <c r="K45" s="11">
        <f>I39/C24</f>
        <v>5.2140154307336969E-2</v>
      </c>
      <c r="L45" s="138"/>
    </row>
    <row r="46" spans="1:12" ht="12" customHeight="1" x14ac:dyDescent="0.25">
      <c r="A46" s="193"/>
      <c r="B46" s="193"/>
      <c r="C46" s="193"/>
      <c r="D46" s="193"/>
      <c r="E46" s="193"/>
      <c r="F46" s="28"/>
      <c r="G46" s="198" t="s">
        <v>16</v>
      </c>
      <c r="H46" s="199"/>
      <c r="I46" s="199"/>
      <c r="J46" s="30">
        <f>H40/H24</f>
        <v>0.10312612288896873</v>
      </c>
      <c r="K46" s="11">
        <f>I40/I24</f>
        <v>0.10394762943860344</v>
      </c>
      <c r="L46" s="211" t="s">
        <v>42</v>
      </c>
    </row>
    <row r="47" spans="1:12" ht="3.75" hidden="1" customHeight="1" x14ac:dyDescent="0.25">
      <c r="A47" s="193"/>
      <c r="B47" s="193"/>
      <c r="C47" s="193"/>
      <c r="D47" s="193"/>
      <c r="E47" s="193"/>
      <c r="F47" s="28"/>
      <c r="G47" s="198" t="s">
        <v>17</v>
      </c>
      <c r="H47" s="199"/>
      <c r="I47" s="199"/>
      <c r="J47" s="30">
        <f t="shared" ref="J47" si="14">H41/H27</f>
        <v>0.36751560128183502</v>
      </c>
      <c r="K47" s="11">
        <f>I41/C24</f>
        <v>0.10226546759054499</v>
      </c>
      <c r="L47" s="212"/>
    </row>
    <row r="48" spans="1:12" ht="15" customHeight="1" thickBot="1" x14ac:dyDescent="0.3">
      <c r="A48" s="193"/>
      <c r="B48" s="193"/>
      <c r="C48" s="193"/>
      <c r="D48" s="193"/>
      <c r="E48" s="193"/>
      <c r="F48" s="17"/>
      <c r="G48" s="213" t="s">
        <v>17</v>
      </c>
      <c r="H48" s="214"/>
      <c r="I48" s="214"/>
      <c r="J48" s="131">
        <f>H41/B24</f>
        <v>9.870000452960094E-2</v>
      </c>
      <c r="K48" s="12">
        <f>I41/C24</f>
        <v>0.10226546759054499</v>
      </c>
      <c r="L48" s="212"/>
    </row>
    <row r="49" spans="1:12" x14ac:dyDescent="0.2">
      <c r="A49" s="29" t="s">
        <v>39</v>
      </c>
      <c r="L49" s="140" t="s">
        <v>77</v>
      </c>
    </row>
  </sheetData>
  <mergeCells count="18">
    <mergeCell ref="L32:L35"/>
    <mergeCell ref="G43:I43"/>
    <mergeCell ref="L36:L38"/>
    <mergeCell ref="G46:I46"/>
    <mergeCell ref="L46:L48"/>
    <mergeCell ref="G48:I48"/>
    <mergeCell ref="A42:E48"/>
    <mergeCell ref="G45:I45"/>
    <mergeCell ref="G44:I44"/>
    <mergeCell ref="G47:I47"/>
    <mergeCell ref="L39:L43"/>
    <mergeCell ref="B1:D1"/>
    <mergeCell ref="A2:C2"/>
    <mergeCell ref="G2:J2"/>
    <mergeCell ref="G1:L1"/>
    <mergeCell ref="G28:K30"/>
    <mergeCell ref="A28:E30"/>
    <mergeCell ref="L27:L30"/>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5">
        <f>IF(SUM('Sheet 1'!B4:B23)='Sheet 1'!B24,0,1)</f>
        <v>0</v>
      </c>
      <c r="C3" s="95">
        <f>IF(SUM('Sheet 1'!C4:C23)='Sheet 1'!C24,0,1)</f>
        <v>0</v>
      </c>
      <c r="D3" s="95"/>
      <c r="E3" s="95">
        <f>IF(SUM('Sheet 1'!H4:H22)='Sheet 1'!H24,0,1)</f>
        <v>0</v>
      </c>
      <c r="F3" s="95">
        <f>IF(SUM('Sheet 1'!I4:I22)='Sheet 1'!I24,0,1)</f>
        <v>0</v>
      </c>
    </row>
    <row r="4" spans="1:6" x14ac:dyDescent="0.2">
      <c r="A4" t="s">
        <v>51</v>
      </c>
      <c r="B4" s="95">
        <f>IF((SUM('Sheet 1'!B$24:B$26))=('Sheet 1'!B$27),0,1)</f>
        <v>0</v>
      </c>
      <c r="C4" s="95">
        <f>IF((SUM('Sheet 1'!C$24:C$26))=('Sheet 1'!C$27),0,1)</f>
        <v>0</v>
      </c>
      <c r="D4" s="95"/>
      <c r="E4" s="95">
        <f>IF((SUM('Sheet 1'!H$24:H$26))=('Sheet 1'!H$27),0,1)</f>
        <v>0</v>
      </c>
      <c r="F4" s="95">
        <f>IF((SUM('Sheet 1'!I$24:I$26))=('Sheet 1'!I$27),0,1)</f>
        <v>0</v>
      </c>
    </row>
    <row r="5" spans="1:6" x14ac:dyDescent="0.2">
      <c r="B5" s="95"/>
      <c r="C5" s="95"/>
      <c r="D5" s="95"/>
      <c r="E5" s="95"/>
      <c r="F5" s="95"/>
    </row>
    <row r="6" spans="1:6" x14ac:dyDescent="0.2">
      <c r="A6" t="s">
        <v>52</v>
      </c>
      <c r="B6" s="95"/>
      <c r="C6" s="95"/>
      <c r="D6" s="95"/>
      <c r="E6" s="95">
        <f>IF(SUM('Sheet 1'!B36:B41)='Sheet 1'!H24,0,1)</f>
        <v>0</v>
      </c>
      <c r="F6" s="95">
        <f>IF(SUM('Sheet 1'!C36:C41)='Sheet 1'!I24,0,1)</f>
        <v>0</v>
      </c>
    </row>
    <row r="7" spans="1:6" x14ac:dyDescent="0.2">
      <c r="B7" s="95"/>
      <c r="C7" s="95"/>
      <c r="D7" s="95"/>
      <c r="E7" s="95"/>
      <c r="F7" s="95"/>
    </row>
    <row r="8" spans="1:6" x14ac:dyDescent="0.2">
      <c r="A8" t="s">
        <v>53</v>
      </c>
      <c r="B8" s="95">
        <f>IF(SUM('Sheet 1'!H35,'Sheet 1'!H41)='Sheet 1'!B24,0,1)</f>
        <v>1</v>
      </c>
      <c r="C8" s="95">
        <f>IF(SUM('Sheet 1'!I35,'Sheet 1'!I41)='Sheet 1'!C24,0,1)</f>
        <v>1</v>
      </c>
      <c r="D8" s="95"/>
      <c r="E8" s="95">
        <f>IF(SUM('Sheet 1'!H34,'Sheet 1'!H40)='Sheet 1'!H24,0,1)</f>
        <v>0</v>
      </c>
      <c r="F8" s="95">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2019-06-24T19:55:16Z</dcterms:modified>
</cp:coreProperties>
</file>